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chel\Documents\Farm Stuff\Kitchen Table Consultants\"/>
    </mc:Choice>
  </mc:AlternateContent>
  <xr:revisionPtr revIDLastSave="0" documentId="8_{7C22D209-DFD8-407F-A8A5-AB70F4C34A6A}" xr6:coauthVersionLast="31" xr6:coauthVersionMax="31" xr10:uidLastSave="{00000000-0000-0000-0000-000000000000}"/>
  <bookViews>
    <workbookView xWindow="0" yWindow="0" windowWidth="19200" windowHeight="11085" xr2:uid="{00000000-000D-0000-FFFF-FFFF00000000}"/>
  </bookViews>
  <sheets>
    <sheet name="Profit and Loss" sheetId="1" r:id="rId1"/>
    <sheet name="Labor" sheetId="3" r:id="rId2"/>
    <sheet name="Sales by Customer Summary" sheetId="4" r:id="rId3"/>
  </sheets>
  <calcPr calcId="179017"/>
</workbook>
</file>

<file path=xl/calcChain.xml><?xml version="1.0" encoding="utf-8"?>
<calcChain xmlns="http://schemas.openxmlformats.org/spreadsheetml/2006/main">
  <c r="I6" i="3" l="1"/>
  <c r="H4" i="3"/>
  <c r="I4" i="3" s="1"/>
  <c r="H5" i="3"/>
  <c r="H6" i="3"/>
  <c r="H3" i="3"/>
  <c r="I3" i="3" s="1"/>
  <c r="E18" i="4"/>
  <c r="G6" i="4"/>
  <c r="D17" i="4"/>
  <c r="C16" i="4"/>
  <c r="B16" i="4"/>
  <c r="D16" i="4" s="1"/>
  <c r="D15" i="4"/>
  <c r="C15" i="4"/>
  <c r="B14" i="4"/>
  <c r="D14" i="4" s="1"/>
  <c r="D13" i="4"/>
  <c r="B13" i="4"/>
  <c r="C12" i="4"/>
  <c r="B12" i="4"/>
  <c r="D12" i="4" s="1"/>
  <c r="C11" i="4"/>
  <c r="B11" i="4"/>
  <c r="D11" i="4" s="1"/>
  <c r="D10" i="4"/>
  <c r="C10" i="4"/>
  <c r="C9" i="4"/>
  <c r="B9" i="4"/>
  <c r="D9" i="4" s="1"/>
  <c r="B8" i="4"/>
  <c r="D8" i="4" s="1"/>
  <c r="C7" i="4"/>
  <c r="D7" i="4" s="1"/>
  <c r="B7" i="4"/>
  <c r="C6" i="4"/>
  <c r="C18" i="4" s="1"/>
  <c r="B6" i="4"/>
  <c r="D6" i="4" s="1"/>
  <c r="G74" i="1"/>
  <c r="G75" i="1" s="1"/>
  <c r="G72" i="1"/>
  <c r="G70" i="1"/>
  <c r="G71" i="1"/>
  <c r="G69" i="1"/>
  <c r="F71" i="1"/>
  <c r="G65" i="1"/>
  <c r="G63" i="1"/>
  <c r="G49" i="1"/>
  <c r="E61" i="1"/>
  <c r="E60" i="1"/>
  <c r="E59" i="1"/>
  <c r="E57" i="1"/>
  <c r="E56" i="1"/>
  <c r="E55" i="1"/>
  <c r="E54" i="1"/>
  <c r="G52" i="1"/>
  <c r="G51" i="1"/>
  <c r="G50" i="1"/>
  <c r="G48" i="1"/>
  <c r="G47" i="1"/>
  <c r="G46" i="1"/>
  <c r="G41" i="1"/>
  <c r="G42" i="1"/>
  <c r="G43" i="1"/>
  <c r="G44" i="1"/>
  <c r="G40" i="1"/>
  <c r="F41" i="1"/>
  <c r="G37" i="1"/>
  <c r="G38" i="1" s="1"/>
  <c r="G36" i="1"/>
  <c r="G34" i="1"/>
  <c r="G33" i="1"/>
  <c r="E27" i="1"/>
  <c r="E26" i="1"/>
  <c r="E24" i="1"/>
  <c r="E23" i="1"/>
  <c r="E22" i="1"/>
  <c r="E21" i="1"/>
  <c r="E20" i="1"/>
  <c r="E19" i="1"/>
  <c r="E18" i="1"/>
  <c r="G9" i="1"/>
  <c r="G10" i="1"/>
  <c r="G27" i="1" s="1"/>
  <c r="G8" i="1"/>
  <c r="G11" i="1" s="1"/>
  <c r="G14" i="1" s="1"/>
  <c r="C73" i="1"/>
  <c r="B73" i="1"/>
  <c r="C71" i="1"/>
  <c r="B71" i="1"/>
  <c r="C70" i="1"/>
  <c r="C69" i="1"/>
  <c r="C72" i="1" s="1"/>
  <c r="C74" i="1" s="1"/>
  <c r="C75" i="1" s="1"/>
  <c r="B69" i="1"/>
  <c r="C65" i="1"/>
  <c r="B65" i="1"/>
  <c r="C63" i="1"/>
  <c r="B63" i="1"/>
  <c r="C61" i="1"/>
  <c r="B61" i="1"/>
  <c r="B60" i="1"/>
  <c r="C59" i="1"/>
  <c r="B59" i="1"/>
  <c r="B58" i="1"/>
  <c r="C57" i="1"/>
  <c r="B57" i="1"/>
  <c r="C56" i="1"/>
  <c r="B56" i="1"/>
  <c r="C55" i="1"/>
  <c r="B55" i="1"/>
  <c r="C54" i="1"/>
  <c r="B53" i="1"/>
  <c r="C51" i="1"/>
  <c r="B51" i="1"/>
  <c r="C50" i="1"/>
  <c r="B50" i="1"/>
  <c r="C48" i="1"/>
  <c r="B48" i="1"/>
  <c r="B47" i="1"/>
  <c r="C46" i="1"/>
  <c r="B46" i="1"/>
  <c r="C45" i="1"/>
  <c r="B45" i="1"/>
  <c r="C44" i="1"/>
  <c r="B44" i="1"/>
  <c r="C43" i="1"/>
  <c r="B43" i="1"/>
  <c r="C42" i="1"/>
  <c r="B42" i="1"/>
  <c r="C41" i="1"/>
  <c r="C40" i="1"/>
  <c r="B40" i="1"/>
  <c r="C39" i="1"/>
  <c r="B39" i="1"/>
  <c r="C36" i="1"/>
  <c r="C37" i="1" s="1"/>
  <c r="B36" i="1"/>
  <c r="B37" i="1" s="1"/>
  <c r="C34" i="1"/>
  <c r="B34" i="1"/>
  <c r="C33" i="1"/>
  <c r="C27" i="1"/>
  <c r="B27" i="1"/>
  <c r="B26" i="1"/>
  <c r="C24" i="1"/>
  <c r="C23" i="1"/>
  <c r="B23" i="1"/>
  <c r="B22" i="1"/>
  <c r="C21" i="1"/>
  <c r="B21" i="1"/>
  <c r="C20" i="1"/>
  <c r="B20" i="1"/>
  <c r="C19" i="1"/>
  <c r="B19" i="1"/>
  <c r="C18" i="1"/>
  <c r="B17" i="1"/>
  <c r="C13" i="1"/>
  <c r="B13" i="1"/>
  <c r="B12" i="1"/>
  <c r="C10" i="1"/>
  <c r="B10" i="1"/>
  <c r="C9" i="1"/>
  <c r="B9" i="1"/>
  <c r="C8" i="1"/>
  <c r="C11" i="1" s="1"/>
  <c r="C14" i="1" s="1"/>
  <c r="B8" i="1"/>
  <c r="B7" i="1"/>
  <c r="H7" i="3" l="1"/>
  <c r="I5" i="3"/>
  <c r="I7" i="3" s="1"/>
  <c r="B18" i="4"/>
  <c r="D18" i="4" s="1"/>
  <c r="G61" i="1"/>
  <c r="G56" i="1"/>
  <c r="G19" i="1"/>
  <c r="G23" i="1"/>
  <c r="G57" i="1"/>
  <c r="G60" i="1"/>
  <c r="G55" i="1"/>
  <c r="G20" i="1"/>
  <c r="G24" i="1"/>
  <c r="G26" i="1"/>
  <c r="G59" i="1"/>
  <c r="G62" i="1" s="1"/>
  <c r="G54" i="1"/>
  <c r="G64" i="1" s="1"/>
  <c r="G66" i="1" s="1"/>
  <c r="G21" i="1"/>
  <c r="G18" i="1"/>
  <c r="G22" i="1"/>
  <c r="C25" i="1"/>
  <c r="C28" i="1" s="1"/>
  <c r="C29" i="1" s="1"/>
  <c r="C30" i="1" s="1"/>
  <c r="B25" i="1"/>
  <c r="B38" i="1"/>
  <c r="C49" i="1"/>
  <c r="C62" i="1"/>
  <c r="C64" i="1" s="1"/>
  <c r="B11" i="1"/>
  <c r="C52" i="1"/>
  <c r="B64" i="1"/>
  <c r="B62" i="1"/>
  <c r="B28" i="1"/>
  <c r="C38" i="1"/>
  <c r="B14" i="1"/>
  <c r="B49" i="1"/>
  <c r="B52" i="1"/>
  <c r="B72" i="1"/>
  <c r="G25" i="1" l="1"/>
  <c r="G28" i="1" s="1"/>
  <c r="G29" i="1" s="1"/>
  <c r="G30" i="1" s="1"/>
  <c r="G67" i="1" s="1"/>
  <c r="G76" i="1" s="1"/>
  <c r="C66" i="1"/>
  <c r="C67" i="1" s="1"/>
  <c r="C76" i="1" s="1"/>
  <c r="B66" i="1"/>
  <c r="B74" i="1"/>
  <c r="B29" i="1"/>
  <c r="B75" i="1" l="1"/>
  <c r="B30" i="1"/>
  <c r="B67" i="1" l="1"/>
  <c r="B76" i="1" l="1"/>
</calcChain>
</file>

<file path=xl/sharedStrings.xml><?xml version="1.0" encoding="utf-8"?>
<sst xmlns="http://schemas.openxmlformats.org/spreadsheetml/2006/main" count="154" uniqueCount="122">
  <si>
    <t>Jan - Dec 2015</t>
  </si>
  <si>
    <t>Jan - Dec 2016</t>
  </si>
  <si>
    <t>Total</t>
  </si>
  <si>
    <t>Income</t>
  </si>
  <si>
    <t xml:space="preserve">   Income</t>
  </si>
  <si>
    <t xml:space="preserve">      Farm grown product</t>
  </si>
  <si>
    <t xml:space="preserve">      Rent and other Income</t>
  </si>
  <si>
    <t xml:space="preserve">      Resale product income</t>
  </si>
  <si>
    <t xml:space="preserve">   Total Income</t>
  </si>
  <si>
    <t xml:space="preserve">   Sales of Product Income</t>
  </si>
  <si>
    <t xml:space="preserve">   Uncategorized Income</t>
  </si>
  <si>
    <t>Total Income</t>
  </si>
  <si>
    <t>Cost of Goods Sold</t>
  </si>
  <si>
    <t xml:space="preserve">   Cost of Goods Sold</t>
  </si>
  <si>
    <t xml:space="preserve">      Farm grown products</t>
  </si>
  <si>
    <t xml:space="preserve">         Ammendments</t>
  </si>
  <si>
    <t xml:space="preserve">         Farm/Production Labor</t>
  </si>
  <si>
    <t xml:space="preserve">         Farmers Market Fees</t>
  </si>
  <si>
    <t xml:space="preserve">         Feed for livestock</t>
  </si>
  <si>
    <t xml:space="preserve">         Market Labor</t>
  </si>
  <si>
    <t xml:space="preserve">         Seeds</t>
  </si>
  <si>
    <t xml:space="preserve">         Soil purchases</t>
  </si>
  <si>
    <t xml:space="preserve">      Total Farm grown products</t>
  </si>
  <si>
    <t xml:space="preserve">      Rental and other</t>
  </si>
  <si>
    <t xml:space="preserve">      Resale product</t>
  </si>
  <si>
    <t xml:space="preserve">   Total Cost of Goods Sold</t>
  </si>
  <si>
    <t>Total Cost of Goods Sold</t>
  </si>
  <si>
    <t>Gross Profit</t>
  </si>
  <si>
    <t>Expenses</t>
  </si>
  <si>
    <t xml:space="preserve">   Fixed Expenses</t>
  </si>
  <si>
    <t xml:space="preserve">      Fixed Expenses- Other</t>
  </si>
  <si>
    <t xml:space="preserve">      Interest</t>
  </si>
  <si>
    <t xml:space="preserve">      Utilities</t>
  </si>
  <si>
    <t xml:space="preserve">         Utilities</t>
  </si>
  <si>
    <t xml:space="preserve">      Total Utilities</t>
  </si>
  <si>
    <t xml:space="preserve">   Total Fixed Expenses</t>
  </si>
  <si>
    <t xml:space="preserve">   General &amp; Admin</t>
  </si>
  <si>
    <t xml:space="preserve">      Bank Service Charges</t>
  </si>
  <si>
    <t xml:space="preserve">      Computer and Internet Expenses</t>
  </si>
  <si>
    <t xml:space="preserve">      Dues &amp; Subscriptions</t>
  </si>
  <si>
    <t xml:space="preserve">      General &amp; Admin - Other</t>
  </si>
  <si>
    <t xml:space="preserve">      Insurance</t>
  </si>
  <si>
    <t xml:space="preserve">      Marketing</t>
  </si>
  <si>
    <t xml:space="preserve">         General</t>
  </si>
  <si>
    <t xml:space="preserve">         Parties</t>
  </si>
  <si>
    <t xml:space="preserve">         Website</t>
  </si>
  <si>
    <t xml:space="preserve">      Total Marketing</t>
  </si>
  <si>
    <t xml:space="preserve">      Office Supplies</t>
  </si>
  <si>
    <t xml:space="preserve">      Professional Fees</t>
  </si>
  <si>
    <t xml:space="preserve">   Total General &amp; Admin</t>
  </si>
  <si>
    <t xml:space="preserve">   Operating Expense - Farming &amp; P</t>
  </si>
  <si>
    <t xml:space="preserve">      Equipment (Farm)</t>
  </si>
  <si>
    <t xml:space="preserve">      Farming Supplies</t>
  </si>
  <si>
    <t xml:space="preserve">      Fuel</t>
  </si>
  <si>
    <t xml:space="preserve">      Repairs &amp; Maintenance</t>
  </si>
  <si>
    <t xml:space="preserve">      Sales</t>
  </si>
  <si>
    <t xml:space="preserve">         Credit Card Fees</t>
  </si>
  <si>
    <t xml:space="preserve">         Equipment (Shared across sales</t>
  </si>
  <si>
    <t xml:space="preserve">         Sales Supplies for Market</t>
  </si>
  <si>
    <t xml:space="preserve">      Total Sales</t>
  </si>
  <si>
    <t xml:space="preserve">      Vehicle Payment</t>
  </si>
  <si>
    <t xml:space="preserve">   Total Operating Expense - Farming &amp; P</t>
  </si>
  <si>
    <t xml:space="preserve">   Uncategorized Expense</t>
  </si>
  <si>
    <t>Total Expenses</t>
  </si>
  <si>
    <t>Net Operating Income</t>
  </si>
  <si>
    <t>Other Expenses</t>
  </si>
  <si>
    <t xml:space="preserve">   Owner Draw</t>
  </si>
  <si>
    <t xml:space="preserve">      Childcare</t>
  </si>
  <si>
    <t xml:space="preserve">      Health Insurance, Owner</t>
  </si>
  <si>
    <t xml:space="preserve">   Total Owner Draw</t>
  </si>
  <si>
    <t xml:space="preserve">   Reconciliation Discrepancies</t>
  </si>
  <si>
    <t>Total Other Expenses</t>
  </si>
  <si>
    <t>Net Other Income</t>
  </si>
  <si>
    <t>Net Income</t>
  </si>
  <si>
    <t>Friday, Apr 06, 2018 05:15:08 AM GMT-7 - Accrual Basis</t>
  </si>
  <si>
    <t>Eastbend Farm</t>
  </si>
  <si>
    <t>Profit and Loss</t>
  </si>
  <si>
    <t>January 2015 - December 2016</t>
  </si>
  <si>
    <t>Driver</t>
  </si>
  <si>
    <t>Previous Year Sales</t>
  </si>
  <si>
    <t>Schedule</t>
  </si>
  <si>
    <t>% Sales</t>
  </si>
  <si>
    <t>% of Sales</t>
  </si>
  <si>
    <t>% of same sales</t>
  </si>
  <si>
    <t>Fixed Budget</t>
  </si>
  <si>
    <t>budget</t>
  </si>
  <si>
    <t>sales</t>
  </si>
  <si>
    <t>Number</t>
  </si>
  <si>
    <t>driver</t>
  </si>
  <si>
    <t>Budget 2018</t>
  </si>
  <si>
    <t>Sales by Customer Summary</t>
  </si>
  <si>
    <t>9</t>
  </si>
  <si>
    <t>19</t>
  </si>
  <si>
    <t>20</t>
  </si>
  <si>
    <t>26</t>
  </si>
  <si>
    <t>22</t>
  </si>
  <si>
    <t>37</t>
  </si>
  <si>
    <t>45</t>
  </si>
  <si>
    <t>18</t>
  </si>
  <si>
    <t>23</t>
  </si>
  <si>
    <t>21</t>
  </si>
  <si>
    <t>48</t>
  </si>
  <si>
    <t>All other</t>
  </si>
  <si>
    <t>TOTAL</t>
  </si>
  <si>
    <t>Friday, Apr 06, 2018 05:38:15 AM GMT-7 - Accrual Basis</t>
  </si>
  <si>
    <t>How</t>
  </si>
  <si>
    <t>Drive more CSA members  33 to be exact</t>
  </si>
  <si>
    <t>get this account back</t>
  </si>
  <si>
    <t>Fred</t>
  </si>
  <si>
    <t>Jen</t>
  </si>
  <si>
    <t>Alfred</t>
  </si>
  <si>
    <t>John</t>
  </si>
  <si>
    <t>rate per hour</t>
  </si>
  <si>
    <t>taxes + benefits</t>
  </si>
  <si>
    <t>week per year Hi-season</t>
  </si>
  <si>
    <t>hours per week hi- season</t>
  </si>
  <si>
    <t>week per year Low-season</t>
  </si>
  <si>
    <t>hours per week Low- season</t>
  </si>
  <si>
    <t>Total hours per year</t>
  </si>
  <si>
    <t>total cost</t>
  </si>
  <si>
    <t xml:space="preserve">Don’t forget non P &amp; L Costs.  </t>
  </si>
  <si>
    <t>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</si>
</sst>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164" formatCode="#,##0\ _€"/>
    <numFmt numFmtId="165" formatCode="&quot;$&quot;* #,##0\ _€"/>
    <numFmt numFmtId="166" formatCode="_(&quot;$&quot;* #,##0_);_(&quot;$&quot;* \(#,##0\);_(&quot;$&quot;* &quot;-&quot;??_);_(@_)"/>
    <numFmt numFmtId="167" formatCode="0.0%"/>
    <numFmt numFmtId="168" formatCode="#,##0.00\ _€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4" applyNumberFormat="0" applyAlignment="0" applyProtection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4" xfId="3"/>
    <xf numFmtId="166" fontId="0" fillId="0" borderId="0" xfId="1" applyNumberFormat="1" applyFont="1"/>
    <xf numFmtId="44" fontId="0" fillId="0" borderId="0" xfId="0" applyNumberFormat="1"/>
    <xf numFmtId="167" fontId="2" fillId="2" borderId="4" xfId="2" applyNumberFormat="1" applyFont="1" applyFill="1" applyBorder="1"/>
    <xf numFmtId="0" fontId="4" fillId="0" borderId="0" xfId="0" applyFont="1"/>
    <xf numFmtId="0" fontId="4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166" fontId="4" fillId="0" borderId="0" xfId="1" applyNumberFormat="1" applyFont="1"/>
    <xf numFmtId="9" fontId="5" fillId="2" borderId="4" xfId="3" applyNumberFormat="1" applyFont="1"/>
    <xf numFmtId="165" fontId="3" fillId="0" borderId="2" xfId="0" applyNumberFormat="1" applyFont="1" applyBorder="1" applyAlignment="1">
      <alignment horizontal="right" wrapText="1"/>
    </xf>
    <xf numFmtId="167" fontId="4" fillId="0" borderId="0" xfId="2" applyNumberFormat="1" applyFont="1"/>
    <xf numFmtId="10" fontId="5" fillId="2" borderId="4" xfId="2" applyNumberFormat="1" applyFont="1" applyFill="1" applyBorder="1"/>
    <xf numFmtId="165" fontId="3" fillId="0" borderId="3" xfId="0" applyNumberFormat="1" applyFont="1" applyBorder="1" applyAlignment="1">
      <alignment horizontal="right" wrapText="1"/>
    </xf>
    <xf numFmtId="166" fontId="4" fillId="0" borderId="0" xfId="0" applyNumberFormat="1" applyFont="1"/>
    <xf numFmtId="166" fontId="3" fillId="0" borderId="2" xfId="0" applyNumberFormat="1" applyFont="1" applyBorder="1" applyAlignment="1">
      <alignment horizontal="right" wrapText="1"/>
    </xf>
    <xf numFmtId="165" fontId="4" fillId="0" borderId="0" xfId="0" applyNumberFormat="1" applyFont="1"/>
    <xf numFmtId="166" fontId="2" fillId="2" borderId="4" xfId="1" applyNumberFormat="1" applyFont="1" applyFill="1" applyBorder="1"/>
    <xf numFmtId="0" fontId="8" fillId="0" borderId="1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164" fontId="9" fillId="0" borderId="3" xfId="0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6" fontId="0" fillId="0" borderId="0" xfId="0" applyNumberFormat="1"/>
    <xf numFmtId="9" fontId="0" fillId="0" borderId="0" xfId="0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">
    <cellStyle name="Currency" xfId="1" builtinId="4"/>
    <cellStyle name="Input" xfId="3" builtinId="20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0"/>
  <sheetViews>
    <sheetView tabSelected="1" workbookViewId="0">
      <selection activeCell="F18" sqref="F18"/>
    </sheetView>
  </sheetViews>
  <sheetFormatPr defaultRowHeight="12.75" x14ac:dyDescent="0.2"/>
  <cols>
    <col min="1" max="1" width="35.28515625" style="6" customWidth="1"/>
    <col min="2" max="3" width="9.28515625" style="6" bestFit="1" customWidth="1"/>
    <col min="4" max="4" width="27.85546875" style="6" customWidth="1"/>
    <col min="5" max="5" width="12.5703125" style="6" bestFit="1" customWidth="1"/>
    <col min="6" max="6" width="11.5703125" style="6" bestFit="1" customWidth="1"/>
    <col min="7" max="7" width="12.7109375" style="6" bestFit="1" customWidth="1"/>
    <col min="8" max="16384" width="9.140625" style="6"/>
  </cols>
  <sheetData>
    <row r="1" spans="1:7" x14ac:dyDescent="0.2">
      <c r="A1" s="33" t="s">
        <v>75</v>
      </c>
      <c r="B1" s="32"/>
      <c r="C1" s="32"/>
    </row>
    <row r="2" spans="1:7" x14ac:dyDescent="0.2">
      <c r="A2" s="33" t="s">
        <v>76</v>
      </c>
      <c r="B2" s="32"/>
      <c r="C2" s="32"/>
    </row>
    <row r="3" spans="1:7" x14ac:dyDescent="0.2">
      <c r="A3" s="33" t="s">
        <v>77</v>
      </c>
      <c r="B3" s="32"/>
      <c r="C3" s="32"/>
    </row>
    <row r="5" spans="1:7" ht="25.5" x14ac:dyDescent="0.2">
      <c r="A5" s="7"/>
      <c r="B5" s="8" t="s">
        <v>0</v>
      </c>
      <c r="C5" s="8" t="s">
        <v>1</v>
      </c>
      <c r="D5" s="6" t="s">
        <v>78</v>
      </c>
      <c r="E5" s="6" t="s">
        <v>87</v>
      </c>
      <c r="F5" s="6" t="s">
        <v>88</v>
      </c>
      <c r="G5" s="7" t="s">
        <v>89</v>
      </c>
    </row>
    <row r="6" spans="1:7" x14ac:dyDescent="0.2">
      <c r="A6" s="9" t="s">
        <v>3</v>
      </c>
      <c r="B6" s="10"/>
      <c r="C6" s="10"/>
    </row>
    <row r="7" spans="1:7" x14ac:dyDescent="0.2">
      <c r="A7" s="9" t="s">
        <v>4</v>
      </c>
      <c r="B7" s="11">
        <f>750</f>
        <v>750</v>
      </c>
      <c r="C7" s="10"/>
    </row>
    <row r="8" spans="1:7" x14ac:dyDescent="0.2">
      <c r="A8" s="9" t="s">
        <v>5</v>
      </c>
      <c r="B8" s="11">
        <f>147061.97</f>
        <v>147061.97</v>
      </c>
      <c r="C8" s="11">
        <f>121705.81</f>
        <v>121705.81</v>
      </c>
      <c r="D8" s="6" t="s">
        <v>79</v>
      </c>
      <c r="E8" s="12">
        <v>122000</v>
      </c>
      <c r="F8" s="13">
        <v>0.2</v>
      </c>
      <c r="G8" s="12">
        <f>(F8+1)*E8</f>
        <v>146400</v>
      </c>
    </row>
    <row r="9" spans="1:7" x14ac:dyDescent="0.2">
      <c r="A9" s="9" t="s">
        <v>6</v>
      </c>
      <c r="B9" s="11">
        <f>381.49</f>
        <v>381.49</v>
      </c>
      <c r="C9" s="11">
        <f>468.41</f>
        <v>468.41</v>
      </c>
      <c r="E9" s="12">
        <v>500</v>
      </c>
      <c r="F9" s="13">
        <v>0.1</v>
      </c>
      <c r="G9" s="12">
        <f t="shared" ref="G9:G10" si="0">(F9+1)*E9</f>
        <v>550</v>
      </c>
    </row>
    <row r="10" spans="1:7" x14ac:dyDescent="0.2">
      <c r="A10" s="9" t="s">
        <v>7</v>
      </c>
      <c r="B10" s="11">
        <f>18069.6</f>
        <v>18069.599999999999</v>
      </c>
      <c r="C10" s="11">
        <f>17542.5</f>
        <v>17542.5</v>
      </c>
      <c r="D10" s="6" t="s">
        <v>79</v>
      </c>
      <c r="E10" s="12">
        <v>17500</v>
      </c>
      <c r="F10" s="13">
        <v>0.1</v>
      </c>
      <c r="G10" s="12">
        <f t="shared" si="0"/>
        <v>19250</v>
      </c>
    </row>
    <row r="11" spans="1:7" x14ac:dyDescent="0.2">
      <c r="A11" s="9" t="s">
        <v>8</v>
      </c>
      <c r="B11" s="14">
        <f>(((B7)+(B8))+(B9))+(B10)</f>
        <v>166263.06</v>
      </c>
      <c r="C11" s="14">
        <f>(((C7)+(C8))+(C9))+(C10)</f>
        <v>139716.72</v>
      </c>
      <c r="G11" s="14">
        <f>(((G7)+(G8))+(G9))+(G10)</f>
        <v>166200</v>
      </c>
    </row>
    <row r="12" spans="1:7" x14ac:dyDescent="0.2">
      <c r="A12" s="9" t="s">
        <v>9</v>
      </c>
      <c r="B12" s="11">
        <f>450</f>
        <v>450</v>
      </c>
      <c r="C12" s="10"/>
    </row>
    <row r="13" spans="1:7" x14ac:dyDescent="0.2">
      <c r="A13" s="9" t="s">
        <v>10</v>
      </c>
      <c r="B13" s="11">
        <f>1868.41</f>
        <v>1868.41</v>
      </c>
      <c r="C13" s="11">
        <f>137.99</f>
        <v>137.99</v>
      </c>
    </row>
    <row r="14" spans="1:7" x14ac:dyDescent="0.2">
      <c r="A14" s="9" t="s">
        <v>11</v>
      </c>
      <c r="B14" s="14">
        <f>((B11)+(B12))+(B13)</f>
        <v>168581.47</v>
      </c>
      <c r="C14" s="14">
        <f>((C11)+(C12))+(C13)</f>
        <v>139854.71</v>
      </c>
      <c r="G14" s="14">
        <f>((G11)+(G12))+(G13)</f>
        <v>166200</v>
      </c>
    </row>
    <row r="15" spans="1:7" x14ac:dyDescent="0.2">
      <c r="A15" s="9" t="s">
        <v>12</v>
      </c>
      <c r="B15" s="10"/>
      <c r="C15" s="10"/>
    </row>
    <row r="16" spans="1:7" x14ac:dyDescent="0.2">
      <c r="A16" s="9" t="s">
        <v>13</v>
      </c>
      <c r="B16" s="10"/>
      <c r="C16" s="10"/>
    </row>
    <row r="17" spans="1:7" x14ac:dyDescent="0.2">
      <c r="A17" s="9" t="s">
        <v>14</v>
      </c>
      <c r="B17" s="11">
        <f>242.45</f>
        <v>242.45</v>
      </c>
      <c r="C17" s="10"/>
    </row>
    <row r="18" spans="1:7" x14ac:dyDescent="0.2">
      <c r="A18" s="9" t="s">
        <v>15</v>
      </c>
      <c r="B18" s="10"/>
      <c r="C18" s="11">
        <f>256</f>
        <v>256</v>
      </c>
      <c r="D18" s="6" t="s">
        <v>81</v>
      </c>
      <c r="E18" s="15">
        <f t="shared" ref="E18:E24" si="1">C18/C$14</f>
        <v>1.8304710652934035E-3</v>
      </c>
      <c r="F18" s="16">
        <v>3.5000000000000001E-3</v>
      </c>
      <c r="G18" s="18">
        <f>F18*G$14</f>
        <v>581.70000000000005</v>
      </c>
    </row>
    <row r="19" spans="1:7" x14ac:dyDescent="0.2">
      <c r="A19" s="9" t="s">
        <v>16</v>
      </c>
      <c r="B19" s="11">
        <f>49360.41</f>
        <v>49360.41</v>
      </c>
      <c r="C19" s="11">
        <f>51292.52</f>
        <v>51292.52</v>
      </c>
      <c r="D19" s="6" t="s">
        <v>80</v>
      </c>
      <c r="E19" s="15">
        <f t="shared" si="1"/>
        <v>0.36675575674212185</v>
      </c>
      <c r="F19" s="16">
        <v>0.34</v>
      </c>
      <c r="G19" s="18">
        <f t="shared" ref="G19:G24" si="2">F19*G$14</f>
        <v>56508.000000000007</v>
      </c>
    </row>
    <row r="20" spans="1:7" x14ac:dyDescent="0.2">
      <c r="A20" s="9" t="s">
        <v>17</v>
      </c>
      <c r="B20" s="11">
        <f>1947.4</f>
        <v>1947.4</v>
      </c>
      <c r="C20" s="11">
        <f>1963.84</f>
        <v>1963.84</v>
      </c>
      <c r="D20" s="6" t="s">
        <v>81</v>
      </c>
      <c r="E20" s="15">
        <f t="shared" si="1"/>
        <v>1.4042001159632021E-2</v>
      </c>
      <c r="F20" s="16">
        <v>1.4E-2</v>
      </c>
      <c r="G20" s="18">
        <f t="shared" si="2"/>
        <v>2326.8000000000002</v>
      </c>
    </row>
    <row r="21" spans="1:7" x14ac:dyDescent="0.2">
      <c r="A21" s="9" t="s">
        <v>18</v>
      </c>
      <c r="B21" s="11">
        <f>3036.18</f>
        <v>3036.18</v>
      </c>
      <c r="C21" s="11">
        <f>2457.52</f>
        <v>2457.52</v>
      </c>
      <c r="D21" s="6" t="s">
        <v>81</v>
      </c>
      <c r="E21" s="15">
        <f t="shared" si="1"/>
        <v>1.757195020460877E-2</v>
      </c>
      <c r="F21" s="16">
        <v>1.7999999999999999E-2</v>
      </c>
      <c r="G21" s="18">
        <f t="shared" si="2"/>
        <v>2991.6</v>
      </c>
    </row>
    <row r="22" spans="1:7" x14ac:dyDescent="0.2">
      <c r="A22" s="9" t="s">
        <v>19</v>
      </c>
      <c r="B22" s="11">
        <f>615</f>
        <v>615</v>
      </c>
      <c r="C22" s="10"/>
      <c r="D22" s="6" t="s">
        <v>80</v>
      </c>
      <c r="E22" s="15">
        <f t="shared" si="1"/>
        <v>0</v>
      </c>
      <c r="F22" s="16">
        <v>3.5000000000000001E-3</v>
      </c>
      <c r="G22" s="18">
        <f t="shared" si="2"/>
        <v>581.70000000000005</v>
      </c>
    </row>
    <row r="23" spans="1:7" x14ac:dyDescent="0.2">
      <c r="A23" s="9" t="s">
        <v>20</v>
      </c>
      <c r="B23" s="11">
        <f>9362.83</f>
        <v>9362.83</v>
      </c>
      <c r="C23" s="11">
        <f>6498.36</f>
        <v>6498.36</v>
      </c>
      <c r="D23" s="6" t="s">
        <v>82</v>
      </c>
      <c r="E23" s="15">
        <f t="shared" si="1"/>
        <v>4.6465077936953286E-2</v>
      </c>
      <c r="F23" s="16">
        <v>4.5999999999999999E-2</v>
      </c>
      <c r="G23" s="18">
        <f t="shared" si="2"/>
        <v>7645.2</v>
      </c>
    </row>
    <row r="24" spans="1:7" x14ac:dyDescent="0.2">
      <c r="A24" s="9" t="s">
        <v>21</v>
      </c>
      <c r="B24" s="10"/>
      <c r="C24" s="11">
        <f>336.96</f>
        <v>336.96</v>
      </c>
      <c r="D24" s="6" t="s">
        <v>82</v>
      </c>
      <c r="E24" s="15">
        <f t="shared" si="1"/>
        <v>2.4093575396924422E-3</v>
      </c>
      <c r="F24" s="16">
        <v>2E-3</v>
      </c>
      <c r="G24" s="18">
        <f t="shared" si="2"/>
        <v>332.40000000000003</v>
      </c>
    </row>
    <row r="25" spans="1:7" x14ac:dyDescent="0.2">
      <c r="A25" s="9" t="s">
        <v>22</v>
      </c>
      <c r="B25" s="14">
        <f>(((((((B17)+(B18))+(B19))+(B20))+(B21))+(B22))+(B23))+(B24)</f>
        <v>64564.270000000004</v>
      </c>
      <c r="C25" s="14">
        <f>(((((((C17)+(C18))+(C19))+(C20))+(C21))+(C22))+(C23))+(C24)</f>
        <v>62805.19999999999</v>
      </c>
      <c r="G25" s="19">
        <f>(((((((G17)+(G18))+(G19))+(G20))+(G21))+(G22))+(G23))+(G24)</f>
        <v>70967.399999999994</v>
      </c>
    </row>
    <row r="26" spans="1:7" x14ac:dyDescent="0.2">
      <c r="A26" s="9" t="s">
        <v>23</v>
      </c>
      <c r="B26" s="11">
        <f>715</f>
        <v>715</v>
      </c>
      <c r="C26" s="10"/>
      <c r="D26" s="6" t="s">
        <v>82</v>
      </c>
      <c r="E26" s="15">
        <f>C26/C$14</f>
        <v>0</v>
      </c>
      <c r="F26" s="16">
        <v>3.5000000000000001E-3</v>
      </c>
      <c r="G26" s="18">
        <f>F26*G14</f>
        <v>581.70000000000005</v>
      </c>
    </row>
    <row r="27" spans="1:7" x14ac:dyDescent="0.2">
      <c r="A27" s="9" t="s">
        <v>24</v>
      </c>
      <c r="B27" s="11">
        <f>14030.64</f>
        <v>14030.64</v>
      </c>
      <c r="C27" s="11">
        <f>9905.68</f>
        <v>9905.68</v>
      </c>
      <c r="D27" s="6" t="s">
        <v>83</v>
      </c>
      <c r="E27" s="15">
        <f>C27/C10</f>
        <v>0.56466752173293433</v>
      </c>
      <c r="F27" s="16">
        <v>0.56499999999999995</v>
      </c>
      <c r="G27" s="18">
        <f>F27*G10</f>
        <v>10876.249999999998</v>
      </c>
    </row>
    <row r="28" spans="1:7" x14ac:dyDescent="0.2">
      <c r="A28" s="9" t="s">
        <v>25</v>
      </c>
      <c r="B28" s="14">
        <f>(((B16)+(B25))+(B26))+(B27)</f>
        <v>79309.91</v>
      </c>
      <c r="C28" s="14">
        <f>(((C16)+(C25))+(C26))+(C27)</f>
        <v>72710.87999999999</v>
      </c>
      <c r="G28" s="19">
        <f>(((G16)+(G25))+(G26))+(G27)</f>
        <v>82425.349999999991</v>
      </c>
    </row>
    <row r="29" spans="1:7" x14ac:dyDescent="0.2">
      <c r="A29" s="9" t="s">
        <v>26</v>
      </c>
      <c r="B29" s="14">
        <f>B28</f>
        <v>79309.91</v>
      </c>
      <c r="C29" s="14">
        <f>C28</f>
        <v>72710.87999999999</v>
      </c>
      <c r="G29" s="19">
        <f>G28</f>
        <v>82425.349999999991</v>
      </c>
    </row>
    <row r="30" spans="1:7" x14ac:dyDescent="0.2">
      <c r="A30" s="9" t="s">
        <v>27</v>
      </c>
      <c r="B30" s="14">
        <f>(B14)-(B29)</f>
        <v>89271.56</v>
      </c>
      <c r="C30" s="14">
        <f>(C14)-(C29)</f>
        <v>67143.83</v>
      </c>
      <c r="G30" s="19">
        <f>(G14)-(G29)</f>
        <v>83774.650000000009</v>
      </c>
    </row>
    <row r="31" spans="1:7" x14ac:dyDescent="0.2">
      <c r="A31" s="9" t="s">
        <v>28</v>
      </c>
      <c r="B31" s="10"/>
      <c r="C31" s="10"/>
    </row>
    <row r="32" spans="1:7" x14ac:dyDescent="0.2">
      <c r="A32" s="9" t="s">
        <v>29</v>
      </c>
      <c r="B32" s="10"/>
      <c r="C32" s="10"/>
    </row>
    <row r="33" spans="1:7" ht="15" x14ac:dyDescent="0.25">
      <c r="A33" s="9" t="s">
        <v>30</v>
      </c>
      <c r="B33" s="10"/>
      <c r="C33" s="11">
        <f>216.32</f>
        <v>216.32</v>
      </c>
      <c r="D33" s="6" t="s">
        <v>84</v>
      </c>
      <c r="F33" s="2">
        <v>0</v>
      </c>
      <c r="G33" s="6">
        <f>F33</f>
        <v>0</v>
      </c>
    </row>
    <row r="34" spans="1:7" ht="15" x14ac:dyDescent="0.25">
      <c r="A34" s="9" t="s">
        <v>31</v>
      </c>
      <c r="B34" s="11">
        <f>2290</f>
        <v>2290</v>
      </c>
      <c r="C34" s="11">
        <f>3099.98</f>
        <v>3099.98</v>
      </c>
      <c r="D34" s="6" t="s">
        <v>84</v>
      </c>
      <c r="F34" s="2">
        <v>3100</v>
      </c>
      <c r="G34" s="6">
        <f>F34</f>
        <v>3100</v>
      </c>
    </row>
    <row r="35" spans="1:7" ht="15" x14ac:dyDescent="0.25">
      <c r="A35" s="9" t="s">
        <v>32</v>
      </c>
      <c r="B35" s="10"/>
      <c r="C35" s="10"/>
      <c r="F35"/>
    </row>
    <row r="36" spans="1:7" ht="15" x14ac:dyDescent="0.25">
      <c r="A36" s="9" t="s">
        <v>33</v>
      </c>
      <c r="B36" s="11">
        <f>4676.8</f>
        <v>4676.8</v>
      </c>
      <c r="C36" s="11">
        <f>5058.22</f>
        <v>5058.22</v>
      </c>
      <c r="D36" s="6" t="s">
        <v>84</v>
      </c>
      <c r="F36" s="2">
        <v>4750</v>
      </c>
      <c r="G36" s="6">
        <f>F36</f>
        <v>4750</v>
      </c>
    </row>
    <row r="37" spans="1:7" x14ac:dyDescent="0.2">
      <c r="A37" s="9" t="s">
        <v>34</v>
      </c>
      <c r="B37" s="14">
        <f>(B35)+(B36)</f>
        <v>4676.8</v>
      </c>
      <c r="C37" s="14">
        <f>(C35)+(C36)</f>
        <v>5058.22</v>
      </c>
      <c r="G37" s="14">
        <f>(G35)+(G36)</f>
        <v>4750</v>
      </c>
    </row>
    <row r="38" spans="1:7" x14ac:dyDescent="0.2">
      <c r="A38" s="9" t="s">
        <v>35</v>
      </c>
      <c r="B38" s="14">
        <f>(((B32)+(B33))+(B34))+(B37)</f>
        <v>6966.8</v>
      </c>
      <c r="C38" s="14">
        <f>(((C32)+(C33))+(C34))+(C37)</f>
        <v>8374.52</v>
      </c>
      <c r="G38" s="14">
        <f>(((G32)+(G33))+(G34))+(G37)</f>
        <v>7850</v>
      </c>
    </row>
    <row r="39" spans="1:7" ht="15" x14ac:dyDescent="0.25">
      <c r="A39" s="9" t="s">
        <v>36</v>
      </c>
      <c r="B39" s="11">
        <f>24.84</f>
        <v>24.84</v>
      </c>
      <c r="C39" s="11">
        <f>40</f>
        <v>40</v>
      </c>
      <c r="F39"/>
    </row>
    <row r="40" spans="1:7" ht="15" x14ac:dyDescent="0.25">
      <c r="A40" s="9" t="s">
        <v>37</v>
      </c>
      <c r="B40" s="11">
        <f>152.75</f>
        <v>152.75</v>
      </c>
      <c r="C40" s="11">
        <f>63.35</f>
        <v>63.35</v>
      </c>
      <c r="D40" s="6" t="s">
        <v>85</v>
      </c>
      <c r="F40" s="2">
        <v>0</v>
      </c>
      <c r="G40" s="6">
        <f>F40</f>
        <v>0</v>
      </c>
    </row>
    <row r="41" spans="1:7" ht="15" x14ac:dyDescent="0.25">
      <c r="A41" s="9" t="s">
        <v>38</v>
      </c>
      <c r="B41" s="10"/>
      <c r="C41" s="11">
        <f>11.88</f>
        <v>11.88</v>
      </c>
      <c r="D41" s="6" t="s">
        <v>85</v>
      </c>
      <c r="F41" s="2">
        <f>25*12</f>
        <v>300</v>
      </c>
      <c r="G41" s="6">
        <f t="shared" ref="G41:G51" si="3">F41</f>
        <v>300</v>
      </c>
    </row>
    <row r="42" spans="1:7" ht="15" x14ac:dyDescent="0.25">
      <c r="A42" s="9" t="s">
        <v>39</v>
      </c>
      <c r="B42" s="11">
        <f>1425</f>
        <v>1425</v>
      </c>
      <c r="C42" s="11">
        <f>1074</f>
        <v>1074</v>
      </c>
      <c r="D42" s="6" t="s">
        <v>85</v>
      </c>
      <c r="F42" s="2">
        <v>750</v>
      </c>
      <c r="G42" s="6">
        <f t="shared" si="3"/>
        <v>750</v>
      </c>
    </row>
    <row r="43" spans="1:7" ht="15" x14ac:dyDescent="0.25">
      <c r="A43" s="9" t="s">
        <v>40</v>
      </c>
      <c r="B43" s="11">
        <f>1525.27</f>
        <v>1525.27</v>
      </c>
      <c r="C43" s="11">
        <f>1488.33</f>
        <v>1488.33</v>
      </c>
      <c r="D43" s="6" t="s">
        <v>85</v>
      </c>
      <c r="F43" s="2">
        <v>1500</v>
      </c>
      <c r="G43" s="6">
        <f t="shared" si="3"/>
        <v>1500</v>
      </c>
    </row>
    <row r="44" spans="1:7" ht="15" x14ac:dyDescent="0.25">
      <c r="A44" s="9" t="s">
        <v>41</v>
      </c>
      <c r="B44" s="11">
        <f>8992.15</f>
        <v>8992.15</v>
      </c>
      <c r="C44" s="11">
        <f>7262.48</f>
        <v>7262.48</v>
      </c>
      <c r="D44" s="6" t="s">
        <v>84</v>
      </c>
      <c r="F44" s="2">
        <v>6500</v>
      </c>
      <c r="G44" s="6">
        <f t="shared" si="3"/>
        <v>6500</v>
      </c>
    </row>
    <row r="45" spans="1:7" ht="15" x14ac:dyDescent="0.25">
      <c r="A45" s="9" t="s">
        <v>42</v>
      </c>
      <c r="B45" s="11">
        <f>62.76</f>
        <v>62.76</v>
      </c>
      <c r="C45" s="11">
        <f>250</f>
        <v>250</v>
      </c>
      <c r="D45" s="6" t="s">
        <v>85</v>
      </c>
      <c r="F45"/>
    </row>
    <row r="46" spans="1:7" ht="15" x14ac:dyDescent="0.25">
      <c r="A46" s="9" t="s">
        <v>43</v>
      </c>
      <c r="B46" s="11">
        <f>3554.67</f>
        <v>3554.67</v>
      </c>
      <c r="C46" s="11">
        <f>811.17</f>
        <v>811.17</v>
      </c>
      <c r="D46" s="6" t="s">
        <v>85</v>
      </c>
      <c r="F46" s="2">
        <v>1100</v>
      </c>
      <c r="G46" s="6">
        <f t="shared" si="3"/>
        <v>1100</v>
      </c>
    </row>
    <row r="47" spans="1:7" ht="15" x14ac:dyDescent="0.25">
      <c r="A47" s="9" t="s">
        <v>44</v>
      </c>
      <c r="B47" s="11">
        <f>2121.92</f>
        <v>2121.92</v>
      </c>
      <c r="C47" s="10"/>
      <c r="D47" s="6" t="s">
        <v>85</v>
      </c>
      <c r="F47" s="2">
        <v>0</v>
      </c>
      <c r="G47" s="6">
        <f t="shared" si="3"/>
        <v>0</v>
      </c>
    </row>
    <row r="48" spans="1:7" ht="15" x14ac:dyDescent="0.25">
      <c r="A48" s="9" t="s">
        <v>45</v>
      </c>
      <c r="B48" s="11">
        <f>2009.55</f>
        <v>2009.55</v>
      </c>
      <c r="C48" s="11">
        <f>1936.8</f>
        <v>1936.8</v>
      </c>
      <c r="D48" s="6" t="s">
        <v>85</v>
      </c>
      <c r="F48" s="2">
        <v>2000</v>
      </c>
      <c r="G48" s="6">
        <f t="shared" si="3"/>
        <v>2000</v>
      </c>
    </row>
    <row r="49" spans="1:7" x14ac:dyDescent="0.2">
      <c r="A49" s="9" t="s">
        <v>46</v>
      </c>
      <c r="B49" s="14">
        <f>(((B45)+(B46))+(B47))+(B48)</f>
        <v>7748.9000000000005</v>
      </c>
      <c r="C49" s="14">
        <f>(((C45)+(C46))+(C47))+(C48)</f>
        <v>2997.9700000000003</v>
      </c>
      <c r="G49" s="14">
        <f>(((G45)+(G46))+(G47))+(G48)</f>
        <v>3100</v>
      </c>
    </row>
    <row r="50" spans="1:7" ht="15" x14ac:dyDescent="0.25">
      <c r="A50" s="9" t="s">
        <v>47</v>
      </c>
      <c r="B50" s="11">
        <f>560.88</f>
        <v>560.88</v>
      </c>
      <c r="C50" s="11">
        <f>361.02</f>
        <v>361.02</v>
      </c>
      <c r="D50" s="6" t="s">
        <v>85</v>
      </c>
      <c r="F50" s="2">
        <v>500</v>
      </c>
      <c r="G50" s="6">
        <f t="shared" si="3"/>
        <v>500</v>
      </c>
    </row>
    <row r="51" spans="1:7" ht="15" x14ac:dyDescent="0.25">
      <c r="A51" s="9" t="s">
        <v>48</v>
      </c>
      <c r="B51" s="11">
        <f>12500</f>
        <v>12500</v>
      </c>
      <c r="C51" s="11">
        <f>8176.93</f>
        <v>8176.93</v>
      </c>
      <c r="D51" s="6" t="s">
        <v>85</v>
      </c>
      <c r="F51" s="2">
        <v>4000</v>
      </c>
      <c r="G51" s="6">
        <f t="shared" si="3"/>
        <v>4000</v>
      </c>
    </row>
    <row r="52" spans="1:7" x14ac:dyDescent="0.2">
      <c r="A52" s="9" t="s">
        <v>49</v>
      </c>
      <c r="B52" s="14">
        <f>((((((((B39)+(B40))+(B41))+(B42))+(B43))+(B44))+(B49))+(B50))+(B51)</f>
        <v>32929.79</v>
      </c>
      <c r="C52" s="14">
        <f>((((((((C39)+(C40))+(C41))+(C42))+(C43))+(C44))+(C49))+(C50))+(C51)</f>
        <v>21475.96</v>
      </c>
      <c r="G52" s="14">
        <f>((((((((G39)+(G40))+(G41))+(G42))+(G43))+(G44))+(G49))+(G50))+(G51)</f>
        <v>16650</v>
      </c>
    </row>
    <row r="53" spans="1:7" x14ac:dyDescent="0.2">
      <c r="A53" s="9" t="s">
        <v>50</v>
      </c>
      <c r="B53" s="11">
        <f>11</f>
        <v>11</v>
      </c>
      <c r="C53" s="10"/>
    </row>
    <row r="54" spans="1:7" ht="15" x14ac:dyDescent="0.25">
      <c r="A54" s="9" t="s">
        <v>51</v>
      </c>
      <c r="B54" s="10"/>
      <c r="C54" s="11">
        <f>728.95</f>
        <v>728.95</v>
      </c>
      <c r="D54" s="6" t="s">
        <v>86</v>
      </c>
      <c r="E54" s="15">
        <f>C54/C$14</f>
        <v>5.2121948556469785E-3</v>
      </c>
      <c r="F54" s="5">
        <v>5.0000000000000001E-3</v>
      </c>
      <c r="G54" s="20">
        <f>F54*G$14</f>
        <v>831</v>
      </c>
    </row>
    <row r="55" spans="1:7" ht="15" x14ac:dyDescent="0.25">
      <c r="A55" s="9" t="s">
        <v>52</v>
      </c>
      <c r="B55" s="11">
        <f>4722.32</f>
        <v>4722.32</v>
      </c>
      <c r="C55" s="11">
        <f>1338.25</f>
        <v>1338.25</v>
      </c>
      <c r="D55" s="6" t="s">
        <v>86</v>
      </c>
      <c r="E55" s="15">
        <f t="shared" ref="E55:E57" si="4">C55/C$14</f>
        <v>9.5688589965972556E-3</v>
      </c>
      <c r="F55" s="5">
        <v>0.02</v>
      </c>
      <c r="G55" s="20">
        <f t="shared" ref="G55:G57" si="5">F55*G$14</f>
        <v>3324</v>
      </c>
    </row>
    <row r="56" spans="1:7" ht="15" x14ac:dyDescent="0.25">
      <c r="A56" s="9" t="s">
        <v>53</v>
      </c>
      <c r="B56" s="11">
        <f>2621.27</f>
        <v>2621.27</v>
      </c>
      <c r="C56" s="11">
        <f>2598.79</f>
        <v>2598.79</v>
      </c>
      <c r="D56" s="6" t="s">
        <v>86</v>
      </c>
      <c r="E56" s="15">
        <f t="shared" si="4"/>
        <v>1.8582069920991578E-2</v>
      </c>
      <c r="F56" s="5">
        <v>2.1000000000000001E-2</v>
      </c>
      <c r="G56" s="20">
        <f t="shared" si="5"/>
        <v>3490.2000000000003</v>
      </c>
    </row>
    <row r="57" spans="1:7" ht="15" x14ac:dyDescent="0.25">
      <c r="A57" s="9" t="s">
        <v>54</v>
      </c>
      <c r="B57" s="11">
        <f>5922.86</f>
        <v>5922.86</v>
      </c>
      <c r="C57" s="11">
        <f>4853.3</f>
        <v>4853.3</v>
      </c>
      <c r="D57" s="6" t="s">
        <v>86</v>
      </c>
      <c r="E57" s="15">
        <f t="shared" si="4"/>
        <v>3.4702442270267482E-2</v>
      </c>
      <c r="F57" s="5">
        <v>3.5000000000000003E-2</v>
      </c>
      <c r="G57" s="20">
        <f t="shared" si="5"/>
        <v>5817.0000000000009</v>
      </c>
    </row>
    <row r="58" spans="1:7" x14ac:dyDescent="0.2">
      <c r="A58" s="9" t="s">
        <v>55</v>
      </c>
      <c r="B58" s="11">
        <f>5.94</f>
        <v>5.94</v>
      </c>
      <c r="C58" s="10"/>
      <c r="F58" s="15"/>
    </row>
    <row r="59" spans="1:7" ht="15" x14ac:dyDescent="0.25">
      <c r="A59" s="9" t="s">
        <v>56</v>
      </c>
      <c r="B59" s="11">
        <f>2347.53</f>
        <v>2347.5300000000002</v>
      </c>
      <c r="C59" s="11">
        <f>2013.99</f>
        <v>2013.99</v>
      </c>
      <c r="D59" s="6" t="s">
        <v>86</v>
      </c>
      <c r="E59" s="15">
        <f t="shared" ref="E59:E61" si="6">C59/C$14</f>
        <v>1.440058758121196E-2</v>
      </c>
      <c r="F59" s="5">
        <v>1.4E-2</v>
      </c>
      <c r="G59" s="20">
        <f t="shared" ref="G59:G61" si="7">F59*G$14</f>
        <v>2326.8000000000002</v>
      </c>
    </row>
    <row r="60" spans="1:7" ht="15" x14ac:dyDescent="0.25">
      <c r="A60" s="9" t="s">
        <v>57</v>
      </c>
      <c r="B60" s="11">
        <f>98.99</f>
        <v>98.99</v>
      </c>
      <c r="C60" s="10"/>
      <c r="D60" s="6" t="s">
        <v>86</v>
      </c>
      <c r="E60" s="15">
        <f t="shared" si="6"/>
        <v>0</v>
      </c>
      <c r="F60" s="5"/>
      <c r="G60" s="20">
        <f t="shared" si="7"/>
        <v>0</v>
      </c>
    </row>
    <row r="61" spans="1:7" ht="15" x14ac:dyDescent="0.25">
      <c r="A61" s="9" t="s">
        <v>58</v>
      </c>
      <c r="B61" s="11">
        <f>538.96</f>
        <v>538.96</v>
      </c>
      <c r="C61" s="11">
        <f>1028.6</f>
        <v>1028.5999999999999</v>
      </c>
      <c r="D61" s="6" t="s">
        <v>86</v>
      </c>
      <c r="E61" s="15">
        <f t="shared" si="6"/>
        <v>7.3547755381281046E-3</v>
      </c>
      <c r="F61" s="5">
        <v>7.0000000000000001E-3</v>
      </c>
      <c r="G61" s="20">
        <f t="shared" si="7"/>
        <v>1163.4000000000001</v>
      </c>
    </row>
    <row r="62" spans="1:7" x14ac:dyDescent="0.2">
      <c r="A62" s="9" t="s">
        <v>59</v>
      </c>
      <c r="B62" s="14">
        <f>(((B58)+(B59))+(B60))+(B61)</f>
        <v>2991.42</v>
      </c>
      <c r="C62" s="14">
        <f>(((C58)+(C59))+(C60))+(C61)</f>
        <v>3042.59</v>
      </c>
      <c r="G62" s="14">
        <f>(((G58)+(G59))+(G60))+(G61)</f>
        <v>3490.2000000000003</v>
      </c>
    </row>
    <row r="63" spans="1:7" ht="15" x14ac:dyDescent="0.25">
      <c r="A63" s="9" t="s">
        <v>60</v>
      </c>
      <c r="B63" s="11">
        <f>9519.68</f>
        <v>9519.68</v>
      </c>
      <c r="C63" s="11">
        <f>8867.76</f>
        <v>8867.76</v>
      </c>
      <c r="D63" s="6" t="s">
        <v>84</v>
      </c>
      <c r="F63" s="21">
        <v>9000</v>
      </c>
      <c r="G63" s="18">
        <f>F63</f>
        <v>9000</v>
      </c>
    </row>
    <row r="64" spans="1:7" x14ac:dyDescent="0.2">
      <c r="A64" s="9" t="s">
        <v>61</v>
      </c>
      <c r="B64" s="14">
        <f>((((((B53)+(B54))+(B55))+(B56))+(B57))+(B62))+(B63)</f>
        <v>25788.550000000003</v>
      </c>
      <c r="C64" s="14">
        <f>((((((C53)+(C54))+(C55))+(C56))+(C57))+(C62))+(C63)</f>
        <v>21429.64</v>
      </c>
      <c r="G64" s="14">
        <f>((((((G53)+(G54))+(G55))+(G56))+(G57))+(G62))+(G63)</f>
        <v>25952.400000000001</v>
      </c>
    </row>
    <row r="65" spans="1:7" ht="15" x14ac:dyDescent="0.25">
      <c r="A65" s="9" t="s">
        <v>62</v>
      </c>
      <c r="B65" s="11">
        <f>700</f>
        <v>700</v>
      </c>
      <c r="C65" s="11">
        <f>406.05</f>
        <v>406.05</v>
      </c>
      <c r="D65" s="6" t="s">
        <v>85</v>
      </c>
      <c r="F65" s="2">
        <v>0</v>
      </c>
      <c r="G65" s="6">
        <f>F65</f>
        <v>0</v>
      </c>
    </row>
    <row r="66" spans="1:7" x14ac:dyDescent="0.2">
      <c r="A66" s="9" t="s">
        <v>63</v>
      </c>
      <c r="B66" s="14">
        <f>(((B38)+(B52))+(B64))+(B65)</f>
        <v>66385.140000000014</v>
      </c>
      <c r="C66" s="14">
        <f>(((C38)+(C52))+(C64))+(C65)</f>
        <v>51686.17</v>
      </c>
      <c r="G66" s="14">
        <f>(((G38)+(G52))+(G64))+(G65)</f>
        <v>50452.4</v>
      </c>
    </row>
    <row r="67" spans="1:7" x14ac:dyDescent="0.2">
      <c r="A67" s="9" t="s">
        <v>64</v>
      </c>
      <c r="B67" s="14">
        <f>(B30)-(B66)</f>
        <v>22886.419999999984</v>
      </c>
      <c r="C67" s="14">
        <f>(C30)-(C66)</f>
        <v>15457.660000000003</v>
      </c>
      <c r="G67" s="14">
        <f>(G30)-(G66)</f>
        <v>33322.250000000007</v>
      </c>
    </row>
    <row r="68" spans="1:7" x14ac:dyDescent="0.2">
      <c r="A68" s="9" t="s">
        <v>65</v>
      </c>
      <c r="B68" s="10"/>
      <c r="C68" s="10"/>
    </row>
    <row r="69" spans="1:7" ht="15" x14ac:dyDescent="0.25">
      <c r="A69" s="9" t="s">
        <v>66</v>
      </c>
      <c r="B69" s="11">
        <f>9879.45</f>
        <v>9879.4500000000007</v>
      </c>
      <c r="C69" s="11">
        <f>6649.72</f>
        <v>6649.72</v>
      </c>
      <c r="D69" s="6" t="s">
        <v>85</v>
      </c>
      <c r="F69" s="21">
        <v>15000</v>
      </c>
      <c r="G69" s="12">
        <f>F69</f>
        <v>15000</v>
      </c>
    </row>
    <row r="70" spans="1:7" ht="15" x14ac:dyDescent="0.25">
      <c r="A70" s="9" t="s">
        <v>67</v>
      </c>
      <c r="B70" s="10"/>
      <c r="C70" s="11">
        <f>9080</f>
        <v>9080</v>
      </c>
      <c r="D70" s="6" t="s">
        <v>85</v>
      </c>
      <c r="F70" s="21">
        <v>10000</v>
      </c>
      <c r="G70" s="12">
        <f t="shared" ref="G70:G71" si="8">F70</f>
        <v>10000</v>
      </c>
    </row>
    <row r="71" spans="1:7" ht="15" x14ac:dyDescent="0.25">
      <c r="A71" s="9" t="s">
        <v>68</v>
      </c>
      <c r="B71" s="11">
        <f>4183.92</f>
        <v>4183.92</v>
      </c>
      <c r="C71" s="11">
        <f>80</f>
        <v>80</v>
      </c>
      <c r="F71" s="21">
        <f>500*12</f>
        <v>6000</v>
      </c>
      <c r="G71" s="12">
        <f t="shared" si="8"/>
        <v>6000</v>
      </c>
    </row>
    <row r="72" spans="1:7" x14ac:dyDescent="0.2">
      <c r="A72" s="9" t="s">
        <v>69</v>
      </c>
      <c r="B72" s="14">
        <f>((B69)+(B70))+(B71)</f>
        <v>14063.37</v>
      </c>
      <c r="C72" s="14">
        <f>((C69)+(C70))+(C71)</f>
        <v>15809.720000000001</v>
      </c>
      <c r="F72" s="12"/>
      <c r="G72" s="14">
        <f>((G69)+(G70))+(G71)</f>
        <v>31000</v>
      </c>
    </row>
    <row r="73" spans="1:7" x14ac:dyDescent="0.2">
      <c r="A73" s="9" t="s">
        <v>70</v>
      </c>
      <c r="B73" s="11">
        <f>0</f>
        <v>0</v>
      </c>
      <c r="C73" s="11">
        <f>1</f>
        <v>1</v>
      </c>
      <c r="G73" s="11"/>
    </row>
    <row r="74" spans="1:7" x14ac:dyDescent="0.2">
      <c r="A74" s="9" t="s">
        <v>71</v>
      </c>
      <c r="B74" s="14">
        <f>(B72)+(B73)</f>
        <v>14063.37</v>
      </c>
      <c r="C74" s="14">
        <f>(C72)+(C73)</f>
        <v>15810.720000000001</v>
      </c>
      <c r="G74" s="14">
        <f>(G72)+(G73)</f>
        <v>31000</v>
      </c>
    </row>
    <row r="75" spans="1:7" x14ac:dyDescent="0.2">
      <c r="A75" s="9" t="s">
        <v>72</v>
      </c>
      <c r="B75" s="14">
        <f>(0)-(B74)</f>
        <v>-14063.37</v>
      </c>
      <c r="C75" s="14">
        <f>(0)-(C74)</f>
        <v>-15810.720000000001</v>
      </c>
      <c r="G75" s="14">
        <f>(0)-(G74)</f>
        <v>-31000</v>
      </c>
    </row>
    <row r="76" spans="1:7" x14ac:dyDescent="0.2">
      <c r="A76" s="9" t="s">
        <v>73</v>
      </c>
      <c r="B76" s="17">
        <f>(B67)+(B75)</f>
        <v>8823.0499999999829</v>
      </c>
      <c r="C76" s="17">
        <f>(C67)+(C75)</f>
        <v>-353.05999999999767</v>
      </c>
      <c r="G76" s="17">
        <f>(G67)+(G75)</f>
        <v>2322.2500000000073</v>
      </c>
    </row>
    <row r="77" spans="1:7" x14ac:dyDescent="0.2">
      <c r="A77" s="9"/>
      <c r="B77" s="10"/>
      <c r="C77" s="10"/>
    </row>
    <row r="78" spans="1:7" x14ac:dyDescent="0.2">
      <c r="E78" s="6" t="s">
        <v>120</v>
      </c>
    </row>
    <row r="79" spans="1:7" x14ac:dyDescent="0.2">
      <c r="E79" s="6" t="s">
        <v>121</v>
      </c>
    </row>
    <row r="80" spans="1:7" x14ac:dyDescent="0.2">
      <c r="A80" s="31" t="s">
        <v>74</v>
      </c>
      <c r="B80" s="32"/>
      <c r="C80" s="32"/>
    </row>
  </sheetData>
  <mergeCells count="4">
    <mergeCell ref="A80:C80"/>
    <mergeCell ref="A1:C1"/>
    <mergeCell ref="A2:C2"/>
    <mergeCell ref="A3:C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7709B-7FCB-4AA4-80A9-680A42B65C45}">
  <dimension ref="A2:I7"/>
  <sheetViews>
    <sheetView workbookViewId="0">
      <selection activeCell="G4" sqref="G4"/>
    </sheetView>
  </sheetViews>
  <sheetFormatPr defaultRowHeight="15" x14ac:dyDescent="0.25"/>
  <cols>
    <col min="9" max="9" width="11.5703125" bestFit="1" customWidth="1"/>
  </cols>
  <sheetData>
    <row r="2" spans="1:9" ht="75" x14ac:dyDescent="0.25">
      <c r="B2" s="1" t="s">
        <v>112</v>
      </c>
      <c r="C2" s="1" t="s">
        <v>113</v>
      </c>
      <c r="D2" s="1" t="s">
        <v>114</v>
      </c>
      <c r="E2" s="1" t="s">
        <v>115</v>
      </c>
      <c r="F2" s="1" t="s">
        <v>116</v>
      </c>
      <c r="G2" s="1" t="s">
        <v>117</v>
      </c>
      <c r="H2" s="1" t="s">
        <v>118</v>
      </c>
      <c r="I2" s="1" t="s">
        <v>119</v>
      </c>
    </row>
    <row r="3" spans="1:9" x14ac:dyDescent="0.25">
      <c r="A3" t="s">
        <v>108</v>
      </c>
      <c r="B3" s="29">
        <v>15</v>
      </c>
      <c r="C3" s="30">
        <v>0.15</v>
      </c>
      <c r="D3">
        <v>24</v>
      </c>
      <c r="E3">
        <v>40</v>
      </c>
      <c r="F3">
        <v>24</v>
      </c>
      <c r="G3">
        <v>10</v>
      </c>
      <c r="H3">
        <f>G3*F3+E3*D3</f>
        <v>1200</v>
      </c>
      <c r="I3" s="3">
        <f>B3*(1+C3)*H3</f>
        <v>20700</v>
      </c>
    </row>
    <row r="4" spans="1:9" x14ac:dyDescent="0.25">
      <c r="A4" t="s">
        <v>109</v>
      </c>
      <c r="B4" s="29">
        <v>12</v>
      </c>
      <c r="C4" s="30">
        <v>0.15</v>
      </c>
      <c r="D4">
        <v>15</v>
      </c>
      <c r="E4">
        <v>32</v>
      </c>
      <c r="F4">
        <v>0</v>
      </c>
      <c r="G4">
        <v>0</v>
      </c>
      <c r="H4">
        <f t="shared" ref="H4:H6" si="0">G4*F4+E4*D4</f>
        <v>480</v>
      </c>
      <c r="I4" s="3">
        <f t="shared" ref="I4:I6" si="1">B4*(1+C4)*H4</f>
        <v>6623.9999999999991</v>
      </c>
    </row>
    <row r="5" spans="1:9" x14ac:dyDescent="0.25">
      <c r="A5" t="s">
        <v>110</v>
      </c>
      <c r="B5" s="29">
        <v>22</v>
      </c>
      <c r="C5" s="30">
        <v>0.15</v>
      </c>
      <c r="D5">
        <v>24</v>
      </c>
      <c r="E5">
        <v>30</v>
      </c>
      <c r="F5">
        <v>10</v>
      </c>
      <c r="G5">
        <v>10</v>
      </c>
      <c r="H5">
        <f t="shared" si="0"/>
        <v>820</v>
      </c>
      <c r="I5" s="3">
        <f t="shared" si="1"/>
        <v>20745.999999999996</v>
      </c>
    </row>
    <row r="6" spans="1:9" x14ac:dyDescent="0.25">
      <c r="A6" t="s">
        <v>111</v>
      </c>
      <c r="B6" s="29">
        <v>8</v>
      </c>
      <c r="C6" s="30">
        <v>0.15</v>
      </c>
      <c r="D6">
        <v>16</v>
      </c>
      <c r="E6">
        <v>20</v>
      </c>
      <c r="F6">
        <v>24</v>
      </c>
      <c r="G6">
        <v>20</v>
      </c>
      <c r="H6">
        <f t="shared" si="0"/>
        <v>800</v>
      </c>
      <c r="I6" s="3">
        <f t="shared" si="1"/>
        <v>7359.9999999999991</v>
      </c>
    </row>
    <row r="7" spans="1:9" x14ac:dyDescent="0.25">
      <c r="H7">
        <f t="shared" ref="H7:I7" si="2">SUM(H3:H6)</f>
        <v>3300</v>
      </c>
      <c r="I7" s="3">
        <f t="shared" si="2"/>
        <v>55430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73C88-0DDD-43D0-92DF-A740841B1C66}">
  <dimension ref="A1:G22"/>
  <sheetViews>
    <sheetView workbookViewId="0">
      <selection activeCell="E18" sqref="E18"/>
    </sheetView>
  </sheetViews>
  <sheetFormatPr defaultRowHeight="15" x14ac:dyDescent="0.25"/>
  <cols>
    <col min="1" max="1" width="12" customWidth="1"/>
    <col min="2" max="4" width="11.140625" customWidth="1"/>
    <col min="5" max="5" width="12.5703125" bestFit="1" customWidth="1"/>
    <col min="6" max="6" width="46.85546875" customWidth="1"/>
    <col min="7" max="7" width="22" customWidth="1"/>
  </cols>
  <sheetData>
    <row r="1" spans="1:7" ht="18" x14ac:dyDescent="0.25">
      <c r="A1" s="34" t="s">
        <v>75</v>
      </c>
      <c r="B1" s="35"/>
      <c r="C1" s="35"/>
      <c r="D1" s="35"/>
    </row>
    <row r="2" spans="1:7" ht="18" x14ac:dyDescent="0.25">
      <c r="A2" s="34" t="s">
        <v>90</v>
      </c>
      <c r="B2" s="35"/>
      <c r="C2" s="35"/>
      <c r="D2" s="35"/>
    </row>
    <row r="3" spans="1:7" x14ac:dyDescent="0.25">
      <c r="A3" s="36" t="s">
        <v>77</v>
      </c>
      <c r="B3" s="35"/>
      <c r="C3" s="35"/>
      <c r="D3" s="35"/>
    </row>
    <row r="5" spans="1:7" ht="24.75" x14ac:dyDescent="0.25">
      <c r="A5" s="1"/>
      <c r="B5" s="22" t="s">
        <v>0</v>
      </c>
      <c r="C5" s="22" t="s">
        <v>1</v>
      </c>
      <c r="D5" s="22" t="s">
        <v>2</v>
      </c>
      <c r="E5">
        <v>2018</v>
      </c>
      <c r="F5" s="28" t="s">
        <v>105</v>
      </c>
    </row>
    <row r="6" spans="1:7" x14ac:dyDescent="0.25">
      <c r="A6" s="23" t="s">
        <v>91</v>
      </c>
      <c r="B6" s="25">
        <f>109749.56</f>
        <v>109749.56</v>
      </c>
      <c r="C6" s="25">
        <f>88641.75</f>
        <v>88641.75</v>
      </c>
      <c r="D6" s="25">
        <f t="shared" ref="D6:D18" si="0">(B6)+(C6)</f>
        <v>198391.31</v>
      </c>
      <c r="E6" s="3">
        <v>110000</v>
      </c>
      <c r="F6" t="s">
        <v>106</v>
      </c>
      <c r="G6" s="4">
        <f>(C6-E6)/650</f>
        <v>-32.858846153846152</v>
      </c>
    </row>
    <row r="7" spans="1:7" x14ac:dyDescent="0.25">
      <c r="A7" s="23" t="s">
        <v>92</v>
      </c>
      <c r="B7" s="25">
        <f>16119.5</f>
        <v>16119.5</v>
      </c>
      <c r="C7" s="25">
        <f>14998.9</f>
        <v>14998.9</v>
      </c>
      <c r="D7" s="25">
        <f t="shared" si="0"/>
        <v>31118.400000000001</v>
      </c>
      <c r="E7">
        <v>15000</v>
      </c>
    </row>
    <row r="8" spans="1:7" x14ac:dyDescent="0.25">
      <c r="A8" s="23" t="s">
        <v>93</v>
      </c>
      <c r="B8" s="25">
        <f>11119.52</f>
        <v>11119.52</v>
      </c>
      <c r="C8" s="26"/>
      <c r="D8" s="25">
        <f t="shared" si="0"/>
        <v>11119.52</v>
      </c>
      <c r="E8">
        <v>5000</v>
      </c>
      <c r="F8" t="s">
        <v>107</v>
      </c>
    </row>
    <row r="9" spans="1:7" x14ac:dyDescent="0.25">
      <c r="A9" s="23" t="s">
        <v>94</v>
      </c>
      <c r="B9" s="25">
        <f>5948.75</f>
        <v>5948.75</v>
      </c>
      <c r="C9" s="25">
        <f>4217.13</f>
        <v>4217.13</v>
      </c>
      <c r="D9" s="25">
        <f t="shared" si="0"/>
        <v>10165.880000000001</v>
      </c>
      <c r="E9">
        <v>5000</v>
      </c>
    </row>
    <row r="10" spans="1:7" x14ac:dyDescent="0.25">
      <c r="A10" s="23" t="s">
        <v>95</v>
      </c>
      <c r="B10" s="26"/>
      <c r="C10" s="25">
        <f>9594.65</f>
        <v>9594.65</v>
      </c>
      <c r="D10" s="25">
        <f t="shared" si="0"/>
        <v>9594.65</v>
      </c>
      <c r="E10">
        <v>10000</v>
      </c>
    </row>
    <row r="11" spans="1:7" x14ac:dyDescent="0.25">
      <c r="A11" s="23" t="s">
        <v>96</v>
      </c>
      <c r="B11" s="25">
        <f>4294.2</f>
        <v>4294.2</v>
      </c>
      <c r="C11" s="25">
        <f>4859.3</f>
        <v>4859.3</v>
      </c>
      <c r="D11" s="25">
        <f t="shared" si="0"/>
        <v>9153.5</v>
      </c>
      <c r="E11">
        <v>4500</v>
      </c>
    </row>
    <row r="12" spans="1:7" x14ac:dyDescent="0.25">
      <c r="A12" s="23" t="s">
        <v>97</v>
      </c>
      <c r="B12" s="25">
        <f>2920.15</f>
        <v>2920.15</v>
      </c>
      <c r="C12" s="25">
        <f>5542.93</f>
        <v>5542.93</v>
      </c>
      <c r="D12" s="25">
        <f t="shared" si="0"/>
        <v>8463.08</v>
      </c>
      <c r="E12">
        <v>4000</v>
      </c>
    </row>
    <row r="13" spans="1:7" x14ac:dyDescent="0.25">
      <c r="A13" s="23" t="s">
        <v>98</v>
      </c>
      <c r="B13" s="25">
        <f>5187.5</f>
        <v>5187.5</v>
      </c>
      <c r="C13" s="26"/>
      <c r="D13" s="25">
        <f t="shared" si="0"/>
        <v>5187.5</v>
      </c>
      <c r="E13">
        <v>0</v>
      </c>
    </row>
    <row r="14" spans="1:7" x14ac:dyDescent="0.25">
      <c r="A14" s="23" t="s">
        <v>99</v>
      </c>
      <c r="B14" s="25">
        <f>4480.3</f>
        <v>4480.3</v>
      </c>
      <c r="C14" s="26"/>
      <c r="D14" s="25">
        <f t="shared" si="0"/>
        <v>4480.3</v>
      </c>
      <c r="E14">
        <v>0</v>
      </c>
    </row>
    <row r="15" spans="1:7" x14ac:dyDescent="0.25">
      <c r="A15" s="23" t="s">
        <v>100</v>
      </c>
      <c r="B15" s="26"/>
      <c r="C15" s="25">
        <f>3307.28</f>
        <v>3307.28</v>
      </c>
      <c r="D15" s="25">
        <f t="shared" si="0"/>
        <v>3307.28</v>
      </c>
      <c r="E15">
        <v>5000</v>
      </c>
    </row>
    <row r="16" spans="1:7" x14ac:dyDescent="0.25">
      <c r="A16" s="23" t="s">
        <v>101</v>
      </c>
      <c r="B16" s="25">
        <f>1044.43</f>
        <v>1044.43</v>
      </c>
      <c r="C16" s="25">
        <f>1430.6</f>
        <v>1430.6</v>
      </c>
      <c r="D16" s="25">
        <f t="shared" si="0"/>
        <v>2475.0299999999997</v>
      </c>
      <c r="E16">
        <v>1500</v>
      </c>
    </row>
    <row r="17" spans="1:5" x14ac:dyDescent="0.25">
      <c r="A17" s="23" t="s">
        <v>102</v>
      </c>
      <c r="B17" s="25">
        <v>5061.1600000000008</v>
      </c>
      <c r="C17" s="25">
        <v>5039.7400000000007</v>
      </c>
      <c r="D17" s="25">
        <f t="shared" si="0"/>
        <v>10100.900000000001</v>
      </c>
      <c r="E17">
        <v>5000</v>
      </c>
    </row>
    <row r="18" spans="1:5" x14ac:dyDescent="0.25">
      <c r="A18" s="23" t="s">
        <v>103</v>
      </c>
      <c r="B18" s="27">
        <f>SUM(B6:B17)</f>
        <v>165925.06999999998</v>
      </c>
      <c r="C18" s="27">
        <f>SUM(C6:C17)</f>
        <v>137632.28</v>
      </c>
      <c r="D18" s="27">
        <f t="shared" si="0"/>
        <v>303557.34999999998</v>
      </c>
      <c r="E18">
        <f>SUM(E5:E17)</f>
        <v>167018</v>
      </c>
    </row>
    <row r="19" spans="1:5" x14ac:dyDescent="0.25">
      <c r="A19" s="23"/>
      <c r="B19" s="24"/>
      <c r="C19" s="24"/>
      <c r="D19" s="24"/>
    </row>
    <row r="22" spans="1:5" x14ac:dyDescent="0.25">
      <c r="A22" s="37" t="s">
        <v>104</v>
      </c>
      <c r="B22" s="35"/>
      <c r="C22" s="35"/>
      <c r="D22" s="35"/>
    </row>
  </sheetData>
  <mergeCells count="4">
    <mergeCell ref="A1:D1"/>
    <mergeCell ref="A2:D2"/>
    <mergeCell ref="A3:D3"/>
    <mergeCell ref="A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Profit and Loss</vt:lpstr>
      <vt:lpstr>Labor</vt:lpstr>
      <vt:lpstr>Sales by Customer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Rachel</cp:lastModifiedBy>
  <dcterms:created xsi:type="dcterms:W3CDTF">2018-04-06T12:15:08Z</dcterms:created>
  <dcterms:modified xsi:type="dcterms:W3CDTF">2018-04-19T13:07:46Z</dcterms:modified>
</cp:coreProperties>
</file>